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nadace-my.sharepoint.com/personal/f-nadace_f-nadace_cz/Documents/F/VR/2018-2019/"/>
    </mc:Choice>
  </mc:AlternateContent>
  <bookViews>
    <workbookView xWindow="0" yWindow="0" windowWidth="19140" windowHeight="6150" activeTab="1"/>
  </bookViews>
  <sheets>
    <sheet name="NAJDILEKTORA.CZ+" sheetId="8" r:id="rId1"/>
    <sheet name="NGNDC" sheetId="4" r:id="rId2"/>
    <sheet name="hodnoty" sheetId="7" r:id="rId3"/>
  </sheets>
  <definedNames>
    <definedName name="Cíl_m_výkon">hodnoty!$D$12</definedName>
    <definedName name="Cil_ODMENA" comment="Cílová_částka_1_00_úvazek__Kč">hodnoty!$B$3</definedName>
    <definedName name="DaryNADlimit" localSheetId="0">'NAJDILEKTORA.CZ+'!#REF!</definedName>
    <definedName name="DaryNADlimit" localSheetId="1">NGNDC!#REF!</definedName>
    <definedName name="DaryNADlimit">#REF!</definedName>
    <definedName name="KC_prednaskohodina" comment="Kč___přednáškohodinu__Kč">hodnoty!$D$4</definedName>
    <definedName name="KC_prednh_BIBLE">hodnoty!$D$6</definedName>
    <definedName name="KC_prednh_SDD">hodnoty!$D$5</definedName>
    <definedName name="KC_studentohodina" comment="Kč___studentohodinu__Kč">hodnoty!$B$7</definedName>
    <definedName name="N.cz">hodnoty!$B$11</definedName>
    <definedName name="PC_praxe0">hodnoty!$B$8</definedName>
    <definedName name="PC_praxe1">hodnoty!$B$9</definedName>
    <definedName name="PC_praxe2plus">hodnoty!$B$10</definedName>
  </definedNames>
  <calcPr calcId="162913"/>
</workbook>
</file>

<file path=xl/calcChain.xml><?xml version="1.0" encoding="utf-8"?>
<calcChain xmlns="http://schemas.openxmlformats.org/spreadsheetml/2006/main">
  <c r="C19" i="8" l="1"/>
  <c r="C17" i="8"/>
  <c r="C16" i="8"/>
  <c r="C15" i="8"/>
  <c r="C14" i="8"/>
  <c r="C24" i="4"/>
  <c r="C18" i="8" l="1"/>
  <c r="D16" i="7"/>
  <c r="C27" i="4" l="1"/>
  <c r="C47" i="4"/>
  <c r="C50" i="4" s="1"/>
  <c r="C39" i="4"/>
  <c r="C38" i="4"/>
  <c r="C19" i="4"/>
  <c r="C40" i="4" l="1"/>
  <c r="C28" i="4" l="1"/>
  <c r="C25" i="4"/>
  <c r="C30" i="4" s="1"/>
  <c r="C20" i="4"/>
  <c r="C21" i="4" s="1"/>
  <c r="D20" i="7" l="1"/>
  <c r="D15" i="7"/>
  <c r="F10" i="7"/>
  <c r="F9" i="7"/>
  <c r="F8" i="7"/>
  <c r="D12" i="7"/>
  <c r="C36" i="4" s="1"/>
  <c r="E14" i="7"/>
  <c r="G14" i="7" s="1"/>
  <c r="G13" i="7"/>
  <c r="C43" i="4"/>
  <c r="C23" i="4"/>
  <c r="C22" i="4"/>
  <c r="C26" i="4" s="1"/>
  <c r="D18" i="7" l="1"/>
  <c r="D21" i="7" s="1"/>
  <c r="D24" i="7" s="1"/>
  <c r="E24" i="7" s="1"/>
  <c r="C29" i="4"/>
  <c r="C32" i="4" s="1"/>
  <c r="C41" i="4"/>
  <c r="C45" i="4" s="1"/>
  <c r="D22" i="7" l="1"/>
  <c r="E22" i="7" s="1"/>
  <c r="D23" i="7"/>
  <c r="E23" i="7" s="1"/>
  <c r="E21" i="7"/>
  <c r="C42" i="4"/>
  <c r="C33" i="4"/>
  <c r="C35" i="4" s="1"/>
  <c r="C44" i="4" l="1"/>
  <c r="C34" i="4"/>
  <c r="C54" i="4" s="1"/>
  <c r="C48" i="4"/>
  <c r="C51" i="4" s="1"/>
  <c r="C52" i="4"/>
  <c r="C53" i="4" l="1"/>
</calcChain>
</file>

<file path=xl/sharedStrings.xml><?xml version="1.0" encoding="utf-8"?>
<sst xmlns="http://schemas.openxmlformats.org/spreadsheetml/2006/main" count="115" uniqueCount="97">
  <si>
    <t>Počet  hodin individuální následné práce v daném měsíci</t>
  </si>
  <si>
    <t>Výpočet odměny dle výkonu</t>
  </si>
  <si>
    <t>Odměna dle výkonu</t>
  </si>
  <si>
    <t>Vyúčtování</t>
  </si>
  <si>
    <t>Výše pevné částky k vyplacení dle výkonu</t>
  </si>
  <si>
    <t>Finální odměna k vyplacení dle výkonu a darů</t>
  </si>
  <si>
    <t>Výše zálohy, dle výše úvazku dle smlouvy, zohledňující došlé dary</t>
  </si>
  <si>
    <t>Výše darů převedených z minulého období</t>
  </si>
  <si>
    <t>Výše uplatněných darů pro zdvojení v rámci zálohy</t>
  </si>
  <si>
    <t>Dary nezdvojené, které se v rámci zálohy převádí na další období</t>
  </si>
  <si>
    <t>Z toho pevná částka</t>
  </si>
  <si>
    <t>Záloha</t>
  </si>
  <si>
    <t>Maximální výše darů pro zdvojení v rámci zálohy</t>
  </si>
  <si>
    <t>Dary převáděné z minulého obodbí v rámci záloh</t>
  </si>
  <si>
    <t xml:space="preserve">Počet  hodin skupinové následné práce v daném měsíci </t>
  </si>
  <si>
    <t>Odměna za následnou činnost</t>
  </si>
  <si>
    <t>Část darů, která se bude zdvojovat dle výkonu a výše darů</t>
  </si>
  <si>
    <t>Maximální výše zálohy při plném využití zdvojení</t>
  </si>
  <si>
    <t>Zůstatek darů, které se převádí do dalšího měsíce</t>
  </si>
  <si>
    <t>Maximum darů, které by se mohly zdvojovat při daném výkonu</t>
  </si>
  <si>
    <t>Součet všech studentů,  kteří se účastnili 1h následného programu</t>
  </si>
  <si>
    <t>Celkem vyúčtování k proplacení (Kč)</t>
  </si>
  <si>
    <t>Dary, které se vyplatí bez zdvojení při vyúčtování (Kč)</t>
  </si>
  <si>
    <t>Vyplacená záloha včetně darů vyplacených bez zdvojení (Kč)</t>
  </si>
  <si>
    <t>Parametry</t>
  </si>
  <si>
    <t>Cílová částka 1,00 úvazek (Kč)</t>
  </si>
  <si>
    <t>Kč / přednáškohodinu (Kč)</t>
  </si>
  <si>
    <t>Kč / studentohodinu (Kč)</t>
  </si>
  <si>
    <t>Pevná částka 0 let praxe (Kč)</t>
  </si>
  <si>
    <t>Korekce zálohy</t>
  </si>
  <si>
    <t>Celkem započitatelných hodin následné činnosti</t>
  </si>
  <si>
    <t>Odměna za studentohodiny přednášek i následné činnosti</t>
  </si>
  <si>
    <t>Dary, které se vyplatí bez zdvojení na žádost lektora/organizace</t>
  </si>
  <si>
    <t>Výše darů, kterou lektor žádá vyplatit bez zdvojení (uplatní se do výše zůstatku darů u nichž nebylo uplatnitelné zdvojení)</t>
  </si>
  <si>
    <t>Výše darů doručených F-nadaci na lektora za daný měsíc.</t>
  </si>
  <si>
    <t>Přednášek</t>
  </si>
  <si>
    <t>Následné péče</t>
  </si>
  <si>
    <t>Studentohodin</t>
  </si>
  <si>
    <t>Vydělá si přednáškami a následnou péčí bez studentohodin</t>
  </si>
  <si>
    <t>Tj. studentů na přednášce nebo násl. péči</t>
  </si>
  <si>
    <t>Částka podpory z najdilektora.cz Kč/h</t>
  </si>
  <si>
    <t>Výše zálohy z Najdilektora.cz</t>
  </si>
  <si>
    <t>Započítatelné hodiny za  individuální následnou činnost vzhledem limitu 20% celkového objemu hodin</t>
  </si>
  <si>
    <t>Započítatelné hodiny skupinové NČ vzhledem limitu 40% celkového množství vykázaných hodin a již započtenému počtu individuální NČ</t>
  </si>
  <si>
    <t>Navíc podpora z Najdilektora.cz</t>
  </si>
  <si>
    <t>Navýšení</t>
  </si>
  <si>
    <t>2016-17</t>
  </si>
  <si>
    <t>Výše příspěvku lektora</t>
  </si>
  <si>
    <t>Celoročně</t>
  </si>
  <si>
    <t>Celkem měsíčně</t>
  </si>
  <si>
    <t>Celkem 1 rok praxe</t>
  </si>
  <si>
    <t>Celkem 2 a více let praxe</t>
  </si>
  <si>
    <t>Celkem 0 let praxe</t>
  </si>
  <si>
    <t>2017-18 FN</t>
  </si>
  <si>
    <t>snížení oproti předešlému roku</t>
  </si>
  <si>
    <t>2017-18 NMP</t>
  </si>
  <si>
    <t>Odpočet pro srovnnání při zrušení pené částky</t>
  </si>
  <si>
    <t>Lektor získá celkový příspěvek NGNDC</t>
  </si>
  <si>
    <t>Celková odměna Lektora N.CZ+ NGNDC</t>
  </si>
  <si>
    <r>
      <t xml:space="preserve">Počet hodin </t>
    </r>
    <r>
      <rPr>
        <b/>
        <sz val="11"/>
        <color theme="1"/>
        <rFont val="Calibri"/>
        <family val="2"/>
        <charset val="238"/>
        <scheme val="minor"/>
      </rPr>
      <t>etických a preventivních programů</t>
    </r>
    <r>
      <rPr>
        <sz val="11"/>
        <color theme="1"/>
        <rFont val="Calibri"/>
        <family val="2"/>
        <charset val="238"/>
        <scheme val="minor"/>
      </rPr>
      <t xml:space="preserve"> v daném měsíci</t>
    </r>
  </si>
  <si>
    <r>
      <t xml:space="preserve">Počet hodin </t>
    </r>
    <r>
      <rPr>
        <b/>
        <sz val="11"/>
        <color theme="1"/>
        <rFont val="Calibri"/>
        <family val="2"/>
        <charset val="238"/>
        <scheme val="minor"/>
      </rPr>
      <t>programů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SDD </t>
    </r>
    <r>
      <rPr>
        <sz val="11"/>
        <color theme="1"/>
        <rFont val="Calibri"/>
        <family val="2"/>
        <charset val="238"/>
        <scheme val="minor"/>
      </rPr>
      <t>v daném měsíci</t>
    </r>
  </si>
  <si>
    <r>
      <t xml:space="preserve">Počet hodin </t>
    </r>
    <r>
      <rPr>
        <b/>
        <sz val="11"/>
        <color theme="1"/>
        <rFont val="Calibri"/>
        <family val="2"/>
        <charset val="238"/>
        <scheme val="minor"/>
      </rPr>
      <t xml:space="preserve">programů o BIBLI </t>
    </r>
    <r>
      <rPr>
        <sz val="11"/>
        <color theme="1"/>
        <rFont val="Calibri"/>
        <family val="2"/>
        <charset val="238"/>
        <scheme val="minor"/>
      </rPr>
      <t>v daném měsíci</t>
    </r>
  </si>
  <si>
    <r>
      <t xml:space="preserve">Součet všech studentů, kteří 1h naslouchali programům </t>
    </r>
    <r>
      <rPr>
        <b/>
        <sz val="11"/>
        <color theme="1"/>
        <rFont val="Calibri"/>
        <family val="2"/>
        <charset val="238"/>
        <scheme val="minor"/>
      </rPr>
      <t>SDD a o Bibli</t>
    </r>
  </si>
  <si>
    <r>
      <t xml:space="preserve">Součet všech studentů, kteří 1h naslouchali </t>
    </r>
    <r>
      <rPr>
        <b/>
        <sz val="11"/>
        <color theme="1"/>
        <rFont val="Calibri"/>
        <family val="2"/>
        <charset val="238"/>
        <scheme val="minor"/>
      </rPr>
      <t xml:space="preserve">etic.&amp; prev. </t>
    </r>
    <r>
      <rPr>
        <sz val="11"/>
        <color theme="1"/>
        <rFont val="Calibri"/>
        <family val="2"/>
        <charset val="238"/>
        <scheme val="minor"/>
      </rPr>
      <t>programům</t>
    </r>
  </si>
  <si>
    <t>Kč / přednáškohodinu SDD (Kč)</t>
  </si>
  <si>
    <t>Kč / přednáškohodinu o BIBLI (Kč)</t>
  </si>
  <si>
    <t>Odměna za realizované programy SDD</t>
  </si>
  <si>
    <t>Odměna za realizované programy BIBLE</t>
  </si>
  <si>
    <t>Odměna za studentohodiny programů SDD a Bible</t>
  </si>
  <si>
    <t>Odměna za realizované preventivní a etické programy</t>
  </si>
  <si>
    <t>Plánovaný počet hodin etic.&amp; prev. programů měsíčně</t>
  </si>
  <si>
    <t>Plánovaný počet hodin programů SDD měsíčně</t>
  </si>
  <si>
    <t>Plánovaný počet programů o BIBLI měsíčně</t>
  </si>
  <si>
    <t>Maximální zdvojovaná odměna, kterou by bylo možné vyplatit při dostatčném množství darů</t>
  </si>
  <si>
    <t>Plánovaný počet hodin následné činnosti</t>
  </si>
  <si>
    <t>Vzorec výpočtu měsíční odměny lektora dle výkonu  Verze 9.1</t>
  </si>
  <si>
    <t>Doplatek/přeplatek najdilektora.cz (Kč)</t>
  </si>
  <si>
    <t>Doplatek/přeplatek  NGNDC (Kč)</t>
  </si>
  <si>
    <t>Dary, které se převádí pro zdvojování v dalším období (Kč)</t>
  </si>
  <si>
    <t>Pevná podpora z NAJDILEKTORA.CZ za etické a preventivní programy</t>
  </si>
  <si>
    <t>Skutečná výše úvazku (přepočet)</t>
  </si>
  <si>
    <t>Vyplácená extra, ne jako součást odměny</t>
  </si>
  <si>
    <t>Plán</t>
  </si>
  <si>
    <t>Skutečnost</t>
  </si>
  <si>
    <t>Pokud by na vašem počítači vzorec nefungoval správně a vykazoval špatné výsledky, tyto problémy, prosím reportujte na f-nadace@f-nadace.cz</t>
  </si>
  <si>
    <t>Pevná částka 2 a více let praxe (Kč)</t>
  </si>
  <si>
    <t>Pevná částka 1 let praxe (Kč)</t>
  </si>
  <si>
    <t>Podpora z NAJDILEKTORA.CZ za etické a preventivní programy</t>
  </si>
  <si>
    <r>
      <t xml:space="preserve">Počet  hodin skupinové následné práce v daném měsíci </t>
    </r>
    <r>
      <rPr>
        <sz val="11"/>
        <color rgb="FFFF0000"/>
        <rFont val="Calibri"/>
        <family val="2"/>
        <charset val="238"/>
        <scheme val="minor"/>
      </rPr>
      <t>(nezohledňuje se v podpoře N.CZ+)</t>
    </r>
  </si>
  <si>
    <r>
      <t xml:space="preserve">Počet  hodin individuální následné práce v daném měsíci </t>
    </r>
    <r>
      <rPr>
        <sz val="11"/>
        <color rgb="FFFF0000"/>
        <rFont val="Calibri"/>
        <family val="2"/>
        <charset val="238"/>
        <scheme val="minor"/>
      </rPr>
      <t>(nezohledňuje se v podpořeN.CZ+)</t>
    </r>
  </si>
  <si>
    <r>
      <t xml:space="preserve">Součet všech studentů, kteří 1h naslouchali </t>
    </r>
    <r>
      <rPr>
        <b/>
        <sz val="11"/>
        <color theme="1"/>
        <rFont val="Calibri"/>
        <family val="2"/>
        <charset val="238"/>
        <scheme val="minor"/>
      </rPr>
      <t xml:space="preserve">etic.&amp; prev. </t>
    </r>
    <r>
      <rPr>
        <sz val="11"/>
        <color theme="1"/>
        <rFont val="Calibri"/>
        <family val="2"/>
        <charset val="238"/>
        <scheme val="minor"/>
      </rPr>
      <t xml:space="preserve">Programům </t>
    </r>
    <r>
      <rPr>
        <sz val="11"/>
        <color rgb="FFFF0000"/>
        <rFont val="Calibri"/>
        <family val="2"/>
        <charset val="238"/>
        <scheme val="minor"/>
      </rPr>
      <t>(nezohledňuje se v podpoře N.CZ+)</t>
    </r>
  </si>
  <si>
    <r>
      <t>Součet všech studentů,  kteří se účastnili 1h následného programu</t>
    </r>
    <r>
      <rPr>
        <sz val="11"/>
        <color rgb="FFFF0000"/>
        <rFont val="Calibri"/>
        <family val="2"/>
        <charset val="238"/>
        <scheme val="minor"/>
      </rPr>
      <t xml:space="preserve">  (nezohledňuje se v podpoře N.CZ+)</t>
    </r>
  </si>
  <si>
    <r>
      <t xml:space="preserve">Výše darů doručených F-nadaci na lektora za daný měsíc. </t>
    </r>
    <r>
      <rPr>
        <sz val="11"/>
        <color rgb="FFFF0000"/>
        <rFont val="Calibri"/>
        <family val="2"/>
        <charset val="238"/>
        <scheme val="minor"/>
      </rPr>
      <t>Dary se v podpoře N.CZ+ vyplácí lektorovi bez zdvojení</t>
    </r>
  </si>
  <si>
    <t>Finálně vyplaceno včetně darů.</t>
  </si>
  <si>
    <t>Finální odměna k vyplacení dle výkonu</t>
  </si>
  <si>
    <t>Měsíční podpora NAJDILEKTORA.CZ PLUS</t>
  </si>
  <si>
    <t>Měsíční podpora NGNDC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</si>
</sst>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Kč&quot;* #,##0.00_);_(&quot;Kč&quot;* \(#,##0.00\);_(&quot;Kč&quot;* &quot;-&quot;??_);_(@_)"/>
    <numFmt numFmtId="165" formatCode="0.0"/>
    <numFmt numFmtId="166" formatCode="#,##0_ ;\-#,##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4" fillId="0" borderId="0" xfId="0" applyFont="1"/>
    <xf numFmtId="2" fontId="0" fillId="4" borderId="1" xfId="1" applyNumberFormat="1" applyFont="1" applyFill="1" applyBorder="1"/>
    <xf numFmtId="0" fontId="5" fillId="8" borderId="0" xfId="0" applyFont="1" applyFill="1" applyBorder="1" applyAlignment="1"/>
    <xf numFmtId="2" fontId="0" fillId="8" borderId="0" xfId="1" applyNumberFormat="1" applyFont="1" applyFill="1" applyBorder="1"/>
    <xf numFmtId="165" fontId="0" fillId="4" borderId="3" xfId="1" applyNumberFormat="1" applyFont="1" applyFill="1" applyBorder="1"/>
    <xf numFmtId="0" fontId="0" fillId="0" borderId="0" xfId="0"/>
    <xf numFmtId="1" fontId="0" fillId="0" borderId="0" xfId="0" applyNumberFormat="1"/>
    <xf numFmtId="3" fontId="0" fillId="3" borderId="6" xfId="0" applyNumberForma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2" fillId="8" borderId="5" xfId="0" applyNumberFormat="1" applyFont="1" applyFill="1" applyBorder="1" applyAlignment="1"/>
    <xf numFmtId="3" fontId="0" fillId="4" borderId="2" xfId="1" applyNumberFormat="1" applyFont="1" applyFill="1" applyBorder="1"/>
    <xf numFmtId="3" fontId="0" fillId="4" borderId="3" xfId="1" applyNumberFormat="1" applyFont="1" applyFill="1" applyBorder="1"/>
    <xf numFmtId="3" fontId="0" fillId="4" borderId="6" xfId="1" applyNumberFormat="1" applyFont="1" applyFill="1" applyBorder="1"/>
    <xf numFmtId="3" fontId="0" fillId="4" borderId="1" xfId="1" applyNumberFormat="1" applyFont="1" applyFill="1" applyBorder="1"/>
    <xf numFmtId="3" fontId="0" fillId="7" borderId="2" xfId="1" applyNumberFormat="1" applyFont="1" applyFill="1" applyBorder="1"/>
    <xf numFmtId="3" fontId="0" fillId="7" borderId="3" xfId="1" applyNumberFormat="1" applyFont="1" applyFill="1" applyBorder="1"/>
    <xf numFmtId="3" fontId="0" fillId="7" borderId="3" xfId="0" applyNumberFormat="1" applyFill="1" applyBorder="1"/>
    <xf numFmtId="3" fontId="0" fillId="7" borderId="6" xfId="1" applyNumberFormat="1" applyFont="1" applyFill="1" applyBorder="1"/>
    <xf numFmtId="3" fontId="0" fillId="7" borderId="1" xfId="1" applyNumberFormat="1" applyFont="1" applyFill="1" applyBorder="1"/>
    <xf numFmtId="166" fontId="0" fillId="4" borderId="4" xfId="0" applyNumberFormat="1" applyFill="1" applyBorder="1"/>
    <xf numFmtId="166" fontId="0" fillId="5" borderId="1" xfId="0" applyNumberFormat="1" applyFill="1" applyBorder="1"/>
    <xf numFmtId="0" fontId="0" fillId="0" borderId="0" xfId="0" applyAlignment="1">
      <alignment horizontal="left"/>
    </xf>
    <xf numFmtId="0" fontId="3" fillId="0" borderId="0" xfId="0" applyFont="1" applyAlignment="1"/>
    <xf numFmtId="3" fontId="0" fillId="0" borderId="0" xfId="0" applyNumberFormat="1"/>
    <xf numFmtId="165" fontId="0" fillId="0" borderId="0" xfId="0" applyNumberFormat="1"/>
    <xf numFmtId="0" fontId="6" fillId="0" borderId="0" xfId="0" applyFont="1"/>
    <xf numFmtId="9" fontId="0" fillId="0" borderId="0" xfId="2" applyFont="1"/>
    <xf numFmtId="0" fontId="0" fillId="6" borderId="0" xfId="0" applyFill="1"/>
    <xf numFmtId="9" fontId="0" fillId="6" borderId="0" xfId="2" applyFont="1" applyFill="1"/>
    <xf numFmtId="3" fontId="6" fillId="9" borderId="0" xfId="0" applyNumberFormat="1" applyFont="1" applyFill="1"/>
    <xf numFmtId="0" fontId="0" fillId="9" borderId="0" xfId="0" applyFill="1"/>
    <xf numFmtId="3" fontId="0" fillId="9" borderId="0" xfId="0" applyNumberFormat="1" applyFont="1" applyFill="1"/>
    <xf numFmtId="0" fontId="6" fillId="0" borderId="2" xfId="0" applyFont="1" applyBorder="1"/>
    <xf numFmtId="3" fontId="0" fillId="0" borderId="3" xfId="0" applyNumberFormat="1" applyBorder="1"/>
    <xf numFmtId="3" fontId="6" fillId="0" borderId="3" xfId="0" applyNumberFormat="1" applyFont="1" applyBorder="1"/>
    <xf numFmtId="0" fontId="0" fillId="0" borderId="3" xfId="0" applyBorder="1"/>
    <xf numFmtId="0" fontId="6" fillId="0" borderId="3" xfId="0" applyFont="1" applyBorder="1"/>
    <xf numFmtId="0" fontId="0" fillId="6" borderId="3" xfId="0" applyFont="1" applyFill="1" applyBorder="1"/>
    <xf numFmtId="0" fontId="0" fillId="0" borderId="3" xfId="0" applyFont="1" applyBorder="1"/>
    <xf numFmtId="3" fontId="0" fillId="0" borderId="3" xfId="0" applyNumberFormat="1" applyFont="1" applyBorder="1"/>
    <xf numFmtId="1" fontId="0" fillId="0" borderId="3" xfId="0" applyNumberFormat="1" applyFont="1" applyBorder="1"/>
    <xf numFmtId="3" fontId="7" fillId="0" borderId="3" xfId="0" applyNumberFormat="1" applyFont="1" applyBorder="1"/>
    <xf numFmtId="3" fontId="7" fillId="0" borderId="6" xfId="0" applyNumberFormat="1" applyFont="1" applyBorder="1"/>
    <xf numFmtId="0" fontId="7" fillId="0" borderId="0" xfId="0" applyFont="1" applyAlignment="1">
      <alignment horizontal="left" indent="1"/>
    </xf>
    <xf numFmtId="1" fontId="0" fillId="10" borderId="3" xfId="0" applyNumberFormat="1" applyFill="1" applyBorder="1" applyProtection="1">
      <protection locked="0"/>
    </xf>
    <xf numFmtId="1" fontId="0" fillId="10" borderId="6" xfId="0" applyNumberFormat="1" applyFill="1" applyBorder="1" applyProtection="1">
      <protection locked="0"/>
    </xf>
    <xf numFmtId="1" fontId="0" fillId="10" borderId="2" xfId="0" applyNumberFormat="1" applyFill="1" applyBorder="1" applyProtection="1">
      <protection locked="0"/>
    </xf>
    <xf numFmtId="166" fontId="0" fillId="4" borderId="1" xfId="0" applyNumberFormat="1" applyFill="1" applyBorder="1"/>
    <xf numFmtId="0" fontId="0" fillId="4" borderId="3" xfId="0" applyFill="1" applyBorder="1"/>
    <xf numFmtId="0" fontId="6" fillId="4" borderId="1" xfId="0" applyFont="1" applyFill="1" applyBorder="1"/>
    <xf numFmtId="0" fontId="2" fillId="0" borderId="0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center" vertical="center" textRotation="135" wrapText="1"/>
    </xf>
    <xf numFmtId="0" fontId="2" fillId="6" borderId="3" xfId="0" applyFont="1" applyFill="1" applyBorder="1" applyAlignment="1">
      <alignment horizontal="center" vertical="center" textRotation="135"/>
    </xf>
    <xf numFmtId="0" fontId="2" fillId="6" borderId="6" xfId="0" applyFont="1" applyFill="1" applyBorder="1" applyAlignment="1">
      <alignment horizontal="center" vertical="center" textRotation="135"/>
    </xf>
    <xf numFmtId="0" fontId="2" fillId="11" borderId="2" xfId="0" applyFont="1" applyFill="1" applyBorder="1" applyAlignment="1">
      <alignment horizontal="center" vertical="center" textRotation="135" wrapText="1"/>
    </xf>
    <xf numFmtId="0" fontId="2" fillId="11" borderId="3" xfId="0" applyFont="1" applyFill="1" applyBorder="1" applyAlignment="1">
      <alignment horizontal="center" vertical="center" textRotation="135"/>
    </xf>
    <xf numFmtId="0" fontId="2" fillId="11" borderId="6" xfId="0" applyFont="1" applyFill="1" applyBorder="1" applyAlignment="1">
      <alignment horizontal="center" vertical="center" textRotation="135"/>
    </xf>
    <xf numFmtId="3" fontId="6" fillId="4" borderId="1" xfId="1" applyNumberFormat="1" applyFont="1" applyFill="1" applyBorder="1"/>
    <xf numFmtId="3" fontId="0" fillId="2" borderId="1" xfId="0" applyNumberFormat="1" applyFill="1" applyBorder="1" applyProtection="1">
      <protection locked="0"/>
    </xf>
    <xf numFmtId="0" fontId="9" fillId="0" borderId="0" xfId="0" applyFont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4" sqref="C4"/>
    </sheetView>
  </sheetViews>
  <sheetFormatPr defaultRowHeight="15" x14ac:dyDescent="0.25"/>
  <cols>
    <col min="1" max="1" width="7.28515625" style="8" customWidth="1"/>
    <col min="2" max="2" width="12.85546875" style="8" bestFit="1" customWidth="1"/>
    <col min="3" max="3" width="9.140625" style="8"/>
    <col min="4" max="4" width="3.7109375" style="8" customWidth="1"/>
    <col min="5" max="11" width="9.140625" style="8"/>
    <col min="12" max="13" width="9.140625" style="8" customWidth="1"/>
    <col min="14" max="16384" width="9.140625" style="8"/>
  </cols>
  <sheetData>
    <row r="1" spans="1:8" ht="21" x14ac:dyDescent="0.35">
      <c r="A1" s="26" t="s">
        <v>75</v>
      </c>
      <c r="B1" s="26"/>
      <c r="C1" s="26"/>
      <c r="D1" s="26"/>
      <c r="E1" s="26"/>
      <c r="F1" s="26"/>
      <c r="G1" s="26"/>
      <c r="H1" s="26"/>
    </row>
    <row r="2" spans="1:8" ht="21" x14ac:dyDescent="0.35">
      <c r="A2" s="26"/>
      <c r="B2" s="26"/>
      <c r="C2" s="26"/>
      <c r="D2" s="26"/>
      <c r="E2" s="26"/>
      <c r="F2" s="26"/>
      <c r="G2" s="26"/>
      <c r="H2" s="26"/>
    </row>
    <row r="3" spans="1:8" ht="19.5" thickBot="1" x14ac:dyDescent="0.35">
      <c r="C3" s="64" t="s">
        <v>95</v>
      </c>
    </row>
    <row r="4" spans="1:8" ht="14.45" customHeight="1" x14ac:dyDescent="0.25">
      <c r="B4" s="59" t="s">
        <v>83</v>
      </c>
      <c r="C4" s="1">
        <v>32</v>
      </c>
      <c r="E4" s="25" t="s">
        <v>59</v>
      </c>
    </row>
    <row r="5" spans="1:8" x14ac:dyDescent="0.25">
      <c r="B5" s="60"/>
      <c r="C5" s="2">
        <v>6</v>
      </c>
      <c r="E5" s="25" t="s">
        <v>60</v>
      </c>
    </row>
    <row r="6" spans="1:8" x14ac:dyDescent="0.25">
      <c r="B6" s="60"/>
      <c r="C6" s="2">
        <v>6</v>
      </c>
      <c r="E6" s="25" t="s">
        <v>61</v>
      </c>
    </row>
    <row r="7" spans="1:8" x14ac:dyDescent="0.25">
      <c r="B7" s="60"/>
      <c r="C7" s="2">
        <v>8</v>
      </c>
      <c r="E7" s="25" t="s">
        <v>88</v>
      </c>
    </row>
    <row r="8" spans="1:8" x14ac:dyDescent="0.25">
      <c r="B8" s="60"/>
      <c r="C8" s="2">
        <v>3</v>
      </c>
      <c r="E8" s="25" t="s">
        <v>89</v>
      </c>
    </row>
    <row r="9" spans="1:8" x14ac:dyDescent="0.25">
      <c r="B9" s="60"/>
      <c r="C9" s="2">
        <v>400</v>
      </c>
      <c r="E9" s="25" t="s">
        <v>90</v>
      </c>
    </row>
    <row r="10" spans="1:8" x14ac:dyDescent="0.25">
      <c r="B10" s="60"/>
      <c r="C10" s="2">
        <v>240</v>
      </c>
      <c r="E10" s="25" t="s">
        <v>62</v>
      </c>
    </row>
    <row r="11" spans="1:8" ht="15.75" thickBot="1" x14ac:dyDescent="0.3">
      <c r="B11" s="60"/>
      <c r="C11" s="10">
        <v>16</v>
      </c>
      <c r="E11" s="25" t="s">
        <v>91</v>
      </c>
    </row>
    <row r="12" spans="1:8" ht="15.75" thickBot="1" x14ac:dyDescent="0.3">
      <c r="B12" s="61"/>
      <c r="C12" s="63">
        <v>5000</v>
      </c>
      <c r="E12" s="25" t="s">
        <v>92</v>
      </c>
    </row>
    <row r="13" spans="1:8" ht="21.75" thickBot="1" x14ac:dyDescent="0.4">
      <c r="B13" s="5" t="s">
        <v>1</v>
      </c>
      <c r="C13" s="13"/>
      <c r="E13" s="25"/>
    </row>
    <row r="14" spans="1:8" x14ac:dyDescent="0.25">
      <c r="B14" s="55" t="s">
        <v>2</v>
      </c>
      <c r="C14" s="14">
        <f>C4*N.cz</f>
        <v>3200</v>
      </c>
      <c r="E14" s="25" t="s">
        <v>87</v>
      </c>
    </row>
    <row r="15" spans="1:8" x14ac:dyDescent="0.25">
      <c r="B15" s="55"/>
      <c r="C15" s="15">
        <f>C5*KC_prednh_SDD</f>
        <v>1800</v>
      </c>
      <c r="E15" s="25" t="s">
        <v>66</v>
      </c>
    </row>
    <row r="16" spans="1:8" x14ac:dyDescent="0.25">
      <c r="B16" s="55"/>
      <c r="C16" s="15">
        <f>C6*KC_prednh_BIBLE</f>
        <v>2400</v>
      </c>
      <c r="E16" s="25" t="s">
        <v>67</v>
      </c>
    </row>
    <row r="17" spans="2:5" ht="15.75" thickBot="1" x14ac:dyDescent="0.3">
      <c r="B17" s="55"/>
      <c r="C17" s="15">
        <f>KC_studentohodina*'NAJDILEKTORA.CZ+'!C10</f>
        <v>480</v>
      </c>
      <c r="E17" s="25" t="s">
        <v>68</v>
      </c>
    </row>
    <row r="18" spans="2:5" ht="15.75" thickBot="1" x14ac:dyDescent="0.3">
      <c r="B18" s="55"/>
      <c r="C18" s="62">
        <f>C14+C15+C16+C17</f>
        <v>7880</v>
      </c>
      <c r="E18" s="25" t="s">
        <v>94</v>
      </c>
    </row>
    <row r="19" spans="2:5" ht="15.75" thickBot="1" x14ac:dyDescent="0.3">
      <c r="C19" s="62">
        <f>C18+C12</f>
        <v>12880</v>
      </c>
      <c r="E19" s="25" t="s">
        <v>93</v>
      </c>
    </row>
    <row r="22" spans="2:5" x14ac:dyDescent="0.25">
      <c r="B22" s="3" t="s">
        <v>84</v>
      </c>
    </row>
  </sheetData>
  <mergeCells count="2">
    <mergeCell ref="B4:B12"/>
    <mergeCell ref="B14:B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C3" sqref="C3"/>
    </sheetView>
  </sheetViews>
  <sheetFormatPr defaultRowHeight="15" x14ac:dyDescent="0.25"/>
  <cols>
    <col min="1" max="1" width="7.28515625" customWidth="1"/>
    <col min="2" max="2" width="12.85546875" bestFit="1" customWidth="1"/>
    <col min="4" max="4" width="3.7109375" customWidth="1"/>
    <col min="12" max="13" width="9.140625" customWidth="1"/>
  </cols>
  <sheetData>
    <row r="1" spans="1:8" ht="21" x14ac:dyDescent="0.35">
      <c r="A1" s="26" t="s">
        <v>75</v>
      </c>
      <c r="B1" s="26"/>
      <c r="C1" s="26"/>
      <c r="D1" s="26"/>
      <c r="E1" s="26"/>
      <c r="F1" s="26"/>
      <c r="G1" s="26"/>
      <c r="H1" s="26"/>
    </row>
    <row r="2" spans="1:8" s="8" customFormat="1" ht="21" x14ac:dyDescent="0.35">
      <c r="A2" s="26"/>
      <c r="B2" s="26"/>
      <c r="C2" s="26"/>
      <c r="D2" s="26"/>
      <c r="E2" s="26"/>
      <c r="F2" s="26"/>
      <c r="G2" s="26"/>
      <c r="H2" s="26"/>
    </row>
    <row r="3" spans="1:8" ht="19.5" thickBot="1" x14ac:dyDescent="0.35">
      <c r="C3" s="64" t="s">
        <v>96</v>
      </c>
    </row>
    <row r="4" spans="1:8" s="8" customFormat="1" ht="14.45" customHeight="1" x14ac:dyDescent="0.25">
      <c r="B4" s="56" t="s">
        <v>82</v>
      </c>
      <c r="C4" s="50">
        <v>0</v>
      </c>
      <c r="E4" s="25" t="s">
        <v>70</v>
      </c>
    </row>
    <row r="5" spans="1:8" s="8" customFormat="1" x14ac:dyDescent="0.25">
      <c r="B5" s="57"/>
      <c r="C5" s="48">
        <v>0</v>
      </c>
      <c r="E5" s="25" t="s">
        <v>71</v>
      </c>
    </row>
    <row r="6" spans="1:8" s="8" customFormat="1" x14ac:dyDescent="0.25">
      <c r="B6" s="57"/>
      <c r="C6" s="48">
        <v>0</v>
      </c>
      <c r="E6" s="25" t="s">
        <v>72</v>
      </c>
    </row>
    <row r="7" spans="1:8" s="8" customFormat="1" ht="15.75" thickBot="1" x14ac:dyDescent="0.3">
      <c r="B7" s="58"/>
      <c r="C7" s="49">
        <v>0</v>
      </c>
      <c r="E7" s="25" t="s">
        <v>74</v>
      </c>
    </row>
    <row r="8" spans="1:8" ht="14.45" customHeight="1" x14ac:dyDescent="0.25">
      <c r="B8" s="59" t="s">
        <v>83</v>
      </c>
      <c r="C8" s="1">
        <v>32</v>
      </c>
      <c r="E8" s="25" t="s">
        <v>59</v>
      </c>
    </row>
    <row r="9" spans="1:8" s="8" customFormat="1" x14ac:dyDescent="0.25">
      <c r="B9" s="60"/>
      <c r="C9" s="2">
        <v>6</v>
      </c>
      <c r="E9" s="25" t="s">
        <v>60</v>
      </c>
    </row>
    <row r="10" spans="1:8" s="8" customFormat="1" x14ac:dyDescent="0.25">
      <c r="B10" s="60"/>
      <c r="C10" s="2">
        <v>6</v>
      </c>
      <c r="E10" s="25" t="s">
        <v>61</v>
      </c>
    </row>
    <row r="11" spans="1:8" x14ac:dyDescent="0.25">
      <c r="B11" s="60"/>
      <c r="C11" s="2">
        <v>8</v>
      </c>
      <c r="E11" s="25" t="s">
        <v>14</v>
      </c>
    </row>
    <row r="12" spans="1:8" x14ac:dyDescent="0.25">
      <c r="B12" s="60"/>
      <c r="C12" s="2">
        <v>3</v>
      </c>
      <c r="E12" s="25" t="s">
        <v>0</v>
      </c>
    </row>
    <row r="13" spans="1:8" x14ac:dyDescent="0.25">
      <c r="B13" s="60"/>
      <c r="C13" s="2">
        <v>400</v>
      </c>
      <c r="E13" s="25" t="s">
        <v>63</v>
      </c>
    </row>
    <row r="14" spans="1:8" s="8" customFormat="1" x14ac:dyDescent="0.25">
      <c r="B14" s="60"/>
      <c r="C14" s="2">
        <v>240</v>
      </c>
      <c r="E14" s="25" t="s">
        <v>62</v>
      </c>
    </row>
    <row r="15" spans="1:8" ht="15.75" thickBot="1" x14ac:dyDescent="0.3">
      <c r="B15" s="60"/>
      <c r="C15" s="10">
        <v>16</v>
      </c>
      <c r="E15" s="25" t="s">
        <v>20</v>
      </c>
    </row>
    <row r="16" spans="1:8" x14ac:dyDescent="0.25">
      <c r="B16" s="60"/>
      <c r="C16" s="11">
        <v>10000</v>
      </c>
      <c r="E16" s="25" t="s">
        <v>34</v>
      </c>
    </row>
    <row r="17" spans="2:5" ht="15.75" thickBot="1" x14ac:dyDescent="0.3">
      <c r="B17" s="61"/>
      <c r="C17" s="12">
        <v>0</v>
      </c>
      <c r="E17" s="25" t="s">
        <v>33</v>
      </c>
    </row>
    <row r="18" spans="2:5" ht="21.75" thickBot="1" x14ac:dyDescent="0.4">
      <c r="B18" s="5" t="s">
        <v>1</v>
      </c>
      <c r="C18" s="13"/>
      <c r="E18" s="25"/>
    </row>
    <row r="19" spans="2:5" x14ac:dyDescent="0.25">
      <c r="B19" s="55" t="s">
        <v>2</v>
      </c>
      <c r="C19" s="14">
        <f>C8*N.cz</f>
        <v>3200</v>
      </c>
      <c r="E19" s="25" t="s">
        <v>79</v>
      </c>
    </row>
    <row r="20" spans="2:5" x14ac:dyDescent="0.25">
      <c r="B20" s="55"/>
      <c r="C20" s="7">
        <f>MIN(C12,0.25*SUM(C8:C10))</f>
        <v>3</v>
      </c>
      <c r="E20" s="25" t="s">
        <v>42</v>
      </c>
    </row>
    <row r="21" spans="2:5" x14ac:dyDescent="0.25">
      <c r="B21" s="55"/>
      <c r="C21" s="7">
        <f>MIN(C11,(SUM(C8:C10)*2/3)-C20)</f>
        <v>8</v>
      </c>
      <c r="E21" s="25" t="s">
        <v>43</v>
      </c>
    </row>
    <row r="22" spans="2:5" x14ac:dyDescent="0.25">
      <c r="B22" s="55"/>
      <c r="C22" s="7">
        <f>C20+C21</f>
        <v>11</v>
      </c>
      <c r="E22" s="25" t="s">
        <v>30</v>
      </c>
    </row>
    <row r="23" spans="2:5" x14ac:dyDescent="0.25">
      <c r="B23" s="55"/>
      <c r="C23" s="15">
        <f>C8*KC_prednaskohodina</f>
        <v>11200</v>
      </c>
      <c r="E23" s="25" t="s">
        <v>69</v>
      </c>
    </row>
    <row r="24" spans="2:5" s="8" customFormat="1" x14ac:dyDescent="0.25">
      <c r="B24" s="55"/>
      <c r="C24" s="15">
        <f>C9*KC_prednh_SDD</f>
        <v>1800</v>
      </c>
      <c r="E24" s="25" t="s">
        <v>66</v>
      </c>
    </row>
    <row r="25" spans="2:5" s="8" customFormat="1" x14ac:dyDescent="0.25">
      <c r="B25" s="55"/>
      <c r="C25" s="15">
        <f>C10*KC_prednh_BIBLE</f>
        <v>2400</v>
      </c>
      <c r="E25" s="25" t="s">
        <v>67</v>
      </c>
    </row>
    <row r="26" spans="2:5" x14ac:dyDescent="0.25">
      <c r="B26" s="55"/>
      <c r="C26" s="15">
        <f>C22*KC_prednaskohodina</f>
        <v>3850</v>
      </c>
      <c r="E26" s="25" t="s">
        <v>15</v>
      </c>
    </row>
    <row r="27" spans="2:5" x14ac:dyDescent="0.25">
      <c r="B27" s="55"/>
      <c r="C27" s="15">
        <f>(C13+C15+C12)*KC_studentohodina</f>
        <v>838</v>
      </c>
      <c r="E27" s="25" t="s">
        <v>31</v>
      </c>
    </row>
    <row r="28" spans="2:5" s="8" customFormat="1" x14ac:dyDescent="0.25">
      <c r="B28" s="55"/>
      <c r="C28" s="15">
        <f>KC_studentohodina*NGNDC!C14</f>
        <v>480</v>
      </c>
      <c r="E28" s="25" t="s">
        <v>68</v>
      </c>
    </row>
    <row r="29" spans="2:5" x14ac:dyDescent="0.25">
      <c r="B29" s="55"/>
      <c r="C29" s="15">
        <f>C23+C26+C27</f>
        <v>15888</v>
      </c>
      <c r="E29" s="25" t="s">
        <v>73</v>
      </c>
    </row>
    <row r="30" spans="2:5" x14ac:dyDescent="0.25">
      <c r="B30" s="55"/>
      <c r="C30" s="15">
        <f>C19+C24+C25+C28</f>
        <v>7880</v>
      </c>
      <c r="E30" s="25" t="s">
        <v>4</v>
      </c>
    </row>
    <row r="31" spans="2:5" x14ac:dyDescent="0.25">
      <c r="B31" s="55"/>
      <c r="C31" s="15">
        <v>0</v>
      </c>
      <c r="E31" s="25" t="s">
        <v>7</v>
      </c>
    </row>
    <row r="32" spans="2:5" x14ac:dyDescent="0.25">
      <c r="B32" s="55"/>
      <c r="C32" s="15">
        <f>(C29)/2</f>
        <v>7944</v>
      </c>
      <c r="E32" s="25" t="s">
        <v>19</v>
      </c>
    </row>
    <row r="33" spans="2:5" ht="15.75" thickBot="1" x14ac:dyDescent="0.3">
      <c r="B33" s="55"/>
      <c r="C33" s="16">
        <f>MAX(0,MIN(C32,C16+C31))</f>
        <v>7944</v>
      </c>
      <c r="E33" s="25" t="s">
        <v>16</v>
      </c>
    </row>
    <row r="34" spans="2:5" ht="15.75" thickBot="1" x14ac:dyDescent="0.3">
      <c r="B34" s="55"/>
      <c r="C34" s="16">
        <f>MAX(0,C16+C31-C33-C42)</f>
        <v>2056</v>
      </c>
      <c r="E34" s="25" t="s">
        <v>18</v>
      </c>
    </row>
    <row r="35" spans="2:5" ht="15.75" thickBot="1" x14ac:dyDescent="0.3">
      <c r="B35" s="55"/>
      <c r="C35" s="17">
        <f>C30+C33*2</f>
        <v>23768</v>
      </c>
      <c r="E35" s="25" t="s">
        <v>5</v>
      </c>
    </row>
    <row r="36" spans="2:5" ht="15.75" thickBot="1" x14ac:dyDescent="0.3">
      <c r="B36" s="55"/>
      <c r="C36" s="4">
        <f>SUM(C8:C12)/Cíl_m_výkon</f>
        <v>1</v>
      </c>
      <c r="E36" s="25" t="s">
        <v>80</v>
      </c>
    </row>
    <row r="37" spans="2:5" ht="21.75" thickBot="1" x14ac:dyDescent="0.4">
      <c r="B37" s="5" t="s">
        <v>11</v>
      </c>
      <c r="C37" s="6"/>
      <c r="E37" s="25"/>
    </row>
    <row r="38" spans="2:5" x14ac:dyDescent="0.25">
      <c r="B38" s="54" t="s">
        <v>11</v>
      </c>
      <c r="C38" s="18">
        <f>C4*N.cz+(C4+C7)*KC_prednaskohodina+C5*KC_prednh_SDD+C6*KC_prednh_BIBLE</f>
        <v>0</v>
      </c>
      <c r="E38" s="25" t="s">
        <v>17</v>
      </c>
    </row>
    <row r="39" spans="2:5" x14ac:dyDescent="0.25">
      <c r="B39" s="54"/>
      <c r="C39" s="19">
        <f>C4*N.cz+C5*KC_prednh_SDD+C6*KC_prednh_BIBLE</f>
        <v>0</v>
      </c>
      <c r="E39" s="25" t="s">
        <v>10</v>
      </c>
    </row>
    <row r="40" spans="2:5" x14ac:dyDescent="0.25">
      <c r="B40" s="54"/>
      <c r="C40" s="20">
        <f>(C38-C39)/2</f>
        <v>0</v>
      </c>
      <c r="E40" s="25" t="s">
        <v>12</v>
      </c>
    </row>
    <row r="41" spans="2:5" x14ac:dyDescent="0.25">
      <c r="B41" s="54"/>
      <c r="C41" s="19">
        <f>MIN(C40,C16+C43)</f>
        <v>0</v>
      </c>
      <c r="E41" s="25" t="s">
        <v>8</v>
      </c>
    </row>
    <row r="42" spans="2:5" x14ac:dyDescent="0.25">
      <c r="B42" s="54"/>
      <c r="C42" s="19">
        <f>MIN(C17,MAX(0,C16+C31-C41))</f>
        <v>0</v>
      </c>
      <c r="E42" s="25" t="s">
        <v>32</v>
      </c>
    </row>
    <row r="43" spans="2:5" x14ac:dyDescent="0.25">
      <c r="B43" s="54"/>
      <c r="C43" s="19">
        <f>C31</f>
        <v>0</v>
      </c>
      <c r="E43" s="25" t="s">
        <v>13</v>
      </c>
    </row>
    <row r="44" spans="2:5" x14ac:dyDescent="0.25">
      <c r="B44" s="54"/>
      <c r="C44" s="19">
        <f>C16+C43-C41-C42</f>
        <v>10000</v>
      </c>
      <c r="E44" s="25" t="s">
        <v>9</v>
      </c>
    </row>
    <row r="45" spans="2:5" ht="15.75" thickBot="1" x14ac:dyDescent="0.3">
      <c r="B45" s="54"/>
      <c r="C45" s="21">
        <f>C39+C41*2</f>
        <v>0</v>
      </c>
      <c r="E45" s="25" t="s">
        <v>6</v>
      </c>
    </row>
    <row r="46" spans="2:5" ht="15.75" thickBot="1" x14ac:dyDescent="0.3">
      <c r="B46" s="54"/>
      <c r="C46" s="21"/>
      <c r="E46" s="25" t="s">
        <v>29</v>
      </c>
    </row>
    <row r="47" spans="2:5" s="8" customFormat="1" ht="15.75" thickBot="1" x14ac:dyDescent="0.3">
      <c r="B47" s="54"/>
      <c r="C47" s="21">
        <f>N.cz*SUM(C4:C6)</f>
        <v>0</v>
      </c>
      <c r="E47" s="25" t="s">
        <v>41</v>
      </c>
    </row>
    <row r="48" spans="2:5" ht="15.75" thickBot="1" x14ac:dyDescent="0.3">
      <c r="B48" s="54"/>
      <c r="C48" s="22">
        <f>C45+C42+C46-C47</f>
        <v>0</v>
      </c>
      <c r="E48" s="25" t="s">
        <v>23</v>
      </c>
    </row>
    <row r="49" spans="2:5" ht="21" x14ac:dyDescent="0.35">
      <c r="B49" s="5" t="s">
        <v>3</v>
      </c>
    </row>
    <row r="50" spans="2:5" x14ac:dyDescent="0.25">
      <c r="C50" s="23">
        <f>SUM(C8:C10)*N.cz-C47</f>
        <v>4400</v>
      </c>
      <c r="D50" s="25"/>
      <c r="E50" s="25" t="s">
        <v>76</v>
      </c>
    </row>
    <row r="51" spans="2:5" s="8" customFormat="1" x14ac:dyDescent="0.25">
      <c r="C51" s="23">
        <f>C35-(C48+C47+C50)</f>
        <v>19368</v>
      </c>
      <c r="D51" s="25"/>
      <c r="E51" s="25" t="s">
        <v>77</v>
      </c>
    </row>
    <row r="52" spans="2:5" ht="15.75" thickBot="1" x14ac:dyDescent="0.3">
      <c r="C52" s="23">
        <f>MIN((C16+C31-C33),C17)</f>
        <v>0</v>
      </c>
      <c r="E52" s="25" t="s">
        <v>22</v>
      </c>
    </row>
    <row r="53" spans="2:5" ht="15.75" thickBot="1" x14ac:dyDescent="0.3">
      <c r="C53" s="24">
        <f>SUM(C50:C52)</f>
        <v>23768</v>
      </c>
      <c r="E53" s="25" t="s">
        <v>21</v>
      </c>
    </row>
    <row r="54" spans="2:5" ht="15.75" thickBot="1" x14ac:dyDescent="0.3">
      <c r="C54" s="51">
        <f>C34</f>
        <v>2056</v>
      </c>
      <c r="D54" s="8"/>
      <c r="E54" s="25" t="s">
        <v>78</v>
      </c>
    </row>
    <row r="60" spans="2:5" x14ac:dyDescent="0.25">
      <c r="B60" s="3" t="s">
        <v>84</v>
      </c>
    </row>
  </sheetData>
  <mergeCells count="4">
    <mergeCell ref="B38:B48"/>
    <mergeCell ref="B19:B36"/>
    <mergeCell ref="B4:B7"/>
    <mergeCell ref="B8:B1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156" zoomScaleNormal="156" workbookViewId="0">
      <selection activeCell="D11" sqref="D11"/>
    </sheetView>
  </sheetViews>
  <sheetFormatPr defaultRowHeight="15" x14ac:dyDescent="0.25"/>
  <cols>
    <col min="1" max="1" width="30.85546875" customWidth="1"/>
    <col min="3" max="3" width="12.42578125" customWidth="1"/>
    <col min="4" max="4" width="11.42578125" bestFit="1" customWidth="1"/>
  </cols>
  <sheetData>
    <row r="1" spans="1:9" ht="15.75" thickBot="1" x14ac:dyDescent="0.3">
      <c r="A1" s="8" t="s">
        <v>24</v>
      </c>
      <c r="B1" s="8"/>
      <c r="C1" s="8" t="s">
        <v>47</v>
      </c>
      <c r="D1" s="8"/>
    </row>
    <row r="2" spans="1:9" x14ac:dyDescent="0.25">
      <c r="B2" s="8" t="s">
        <v>46</v>
      </c>
      <c r="C2" s="29" t="s">
        <v>55</v>
      </c>
      <c r="D2" s="36" t="s">
        <v>53</v>
      </c>
    </row>
    <row r="3" spans="1:9" x14ac:dyDescent="0.25">
      <c r="A3" s="8" t="s">
        <v>25</v>
      </c>
      <c r="B3" s="9">
        <v>21000</v>
      </c>
      <c r="C3" s="33">
        <v>23000</v>
      </c>
      <c r="D3" s="37"/>
      <c r="E3" s="27"/>
    </row>
    <row r="4" spans="1:9" x14ac:dyDescent="0.25">
      <c r="A4" s="8" t="s">
        <v>26</v>
      </c>
      <c r="B4">
        <v>350</v>
      </c>
      <c r="C4" s="34"/>
      <c r="D4" s="39">
        <v>350</v>
      </c>
      <c r="E4" s="27"/>
    </row>
    <row r="5" spans="1:9" s="8" customFormat="1" x14ac:dyDescent="0.25">
      <c r="A5" s="8" t="s">
        <v>64</v>
      </c>
      <c r="B5" s="8">
        <v>200</v>
      </c>
      <c r="C5" s="34"/>
      <c r="D5" s="39">
        <v>300</v>
      </c>
      <c r="E5" s="27"/>
    </row>
    <row r="6" spans="1:9" s="8" customFormat="1" x14ac:dyDescent="0.25">
      <c r="A6" s="8" t="s">
        <v>65</v>
      </c>
      <c r="B6" s="8">
        <v>300</v>
      </c>
      <c r="C6" s="34"/>
      <c r="D6" s="39">
        <v>400</v>
      </c>
      <c r="E6" s="27"/>
    </row>
    <row r="7" spans="1:9" x14ac:dyDescent="0.25">
      <c r="A7" s="8" t="s">
        <v>27</v>
      </c>
      <c r="B7" s="8">
        <v>2</v>
      </c>
      <c r="C7" s="34"/>
      <c r="D7" s="38">
        <v>2</v>
      </c>
      <c r="E7" s="27"/>
    </row>
    <row r="8" spans="1:9" x14ac:dyDescent="0.25">
      <c r="A8" s="8" t="s">
        <v>28</v>
      </c>
      <c r="B8" s="8">
        <v>5500</v>
      </c>
      <c r="C8" s="35">
        <v>6000</v>
      </c>
      <c r="D8" s="52">
        <v>0</v>
      </c>
      <c r="E8" s="27"/>
      <c r="F8" s="27">
        <f>PC_praxe0/2</f>
        <v>2750</v>
      </c>
      <c r="G8" t="s">
        <v>54</v>
      </c>
    </row>
    <row r="9" spans="1:9" x14ac:dyDescent="0.25">
      <c r="A9" s="8" t="s">
        <v>86</v>
      </c>
      <c r="B9" s="8">
        <v>4000</v>
      </c>
      <c r="C9" s="35">
        <v>3000</v>
      </c>
      <c r="D9" s="52">
        <v>0</v>
      </c>
      <c r="E9" s="27"/>
      <c r="F9" s="27">
        <f>PC_praxe1/2</f>
        <v>2000</v>
      </c>
      <c r="G9" s="8" t="s">
        <v>54</v>
      </c>
    </row>
    <row r="10" spans="1:9" ht="15.75" thickBot="1" x14ac:dyDescent="0.3">
      <c r="A10" s="8" t="s">
        <v>85</v>
      </c>
      <c r="B10" s="8">
        <v>500</v>
      </c>
      <c r="C10" s="35">
        <v>0</v>
      </c>
      <c r="D10" s="52">
        <v>0</v>
      </c>
      <c r="E10" s="27"/>
      <c r="F10" s="27">
        <f>PC_praxe2plus/2</f>
        <v>250</v>
      </c>
      <c r="G10" s="8" t="s">
        <v>54</v>
      </c>
    </row>
    <row r="11" spans="1:9" s="8" customFormat="1" ht="15.75" thickBot="1" x14ac:dyDescent="0.3">
      <c r="A11" s="8" t="s">
        <v>40</v>
      </c>
      <c r="B11" s="8">
        <v>100</v>
      </c>
      <c r="C11" s="8">
        <v>100</v>
      </c>
      <c r="D11" s="53">
        <v>100</v>
      </c>
      <c r="E11" s="27"/>
      <c r="G11" s="8" t="s">
        <v>81</v>
      </c>
    </row>
    <row r="12" spans="1:9" x14ac:dyDescent="0.25">
      <c r="D12" s="40">
        <f>D13+D14</f>
        <v>55</v>
      </c>
      <c r="E12" s="8" t="s">
        <v>49</v>
      </c>
      <c r="F12" s="8"/>
    </row>
    <row r="13" spans="1:9" x14ac:dyDescent="0.25">
      <c r="A13" s="8" t="s">
        <v>35</v>
      </c>
      <c r="D13" s="41">
        <v>40</v>
      </c>
      <c r="E13" s="31">
        <v>400</v>
      </c>
      <c r="F13" s="31" t="s">
        <v>48</v>
      </c>
      <c r="G13" s="32">
        <f>E13/660</f>
        <v>0.60606060606060608</v>
      </c>
      <c r="I13" s="8"/>
    </row>
    <row r="14" spans="1:9" x14ac:dyDescent="0.25">
      <c r="A14" s="8" t="s">
        <v>36</v>
      </c>
      <c r="D14" s="41">
        <v>15</v>
      </c>
      <c r="E14" s="31">
        <f>2*40+12*15</f>
        <v>260</v>
      </c>
      <c r="F14" s="31" t="s">
        <v>48</v>
      </c>
      <c r="G14" s="32">
        <f>E14/660</f>
        <v>0.39393939393939392</v>
      </c>
      <c r="I14" s="8"/>
    </row>
    <row r="15" spans="1:9" x14ac:dyDescent="0.25">
      <c r="A15" s="8" t="s">
        <v>37</v>
      </c>
      <c r="D15" s="42">
        <f>(D13+D14)*D17*D7</f>
        <v>1760</v>
      </c>
      <c r="E15" s="27"/>
      <c r="F15" s="27"/>
      <c r="I15" s="8"/>
    </row>
    <row r="16" spans="1:9" x14ac:dyDescent="0.25">
      <c r="A16" s="8" t="s">
        <v>38</v>
      </c>
      <c r="D16" s="43">
        <f>(D13+D14)*KC_prednaskohodina</f>
        <v>19250</v>
      </c>
      <c r="E16" s="27"/>
      <c r="F16" s="27"/>
    </row>
    <row r="17" spans="1:6" x14ac:dyDescent="0.25">
      <c r="A17" s="8" t="s">
        <v>39</v>
      </c>
      <c r="D17" s="44">
        <v>16</v>
      </c>
      <c r="E17" s="28"/>
      <c r="F17" s="28"/>
    </row>
    <row r="18" spans="1:6" x14ac:dyDescent="0.25">
      <c r="A18" s="29" t="s">
        <v>57</v>
      </c>
      <c r="D18" s="38">
        <f>D16+D15</f>
        <v>21010</v>
      </c>
    </row>
    <row r="19" spans="1:6" x14ac:dyDescent="0.25">
      <c r="D19" s="39"/>
    </row>
    <row r="20" spans="1:6" x14ac:dyDescent="0.25">
      <c r="A20" s="29" t="s">
        <v>44</v>
      </c>
      <c r="D20" s="38">
        <f>D13*N.cz</f>
        <v>4000</v>
      </c>
      <c r="E20" t="s">
        <v>45</v>
      </c>
    </row>
    <row r="21" spans="1:6" x14ac:dyDescent="0.25">
      <c r="A21" s="29" t="s">
        <v>58</v>
      </c>
      <c r="D21" s="38">
        <f>D18+D20</f>
        <v>25010</v>
      </c>
      <c r="E21" s="30">
        <f>D21/Cil_ODMENA-1</f>
        <v>0.19095238095238098</v>
      </c>
    </row>
    <row r="22" spans="1:6" x14ac:dyDescent="0.25">
      <c r="A22" s="47" t="s">
        <v>51</v>
      </c>
      <c r="D22" s="45">
        <f>D21-F10</f>
        <v>24760</v>
      </c>
      <c r="E22" s="30">
        <f>D22/Cil_ODMENA-1</f>
        <v>0.17904761904761912</v>
      </c>
      <c r="F22" t="s">
        <v>56</v>
      </c>
    </row>
    <row r="23" spans="1:6" x14ac:dyDescent="0.25">
      <c r="A23" s="47" t="s">
        <v>50</v>
      </c>
      <c r="D23" s="45">
        <f>D21-F9</f>
        <v>23010</v>
      </c>
      <c r="E23" s="30">
        <f>D23/Cil_ODMENA-1</f>
        <v>9.5714285714285641E-2</v>
      </c>
      <c r="F23" s="8" t="s">
        <v>56</v>
      </c>
    </row>
    <row r="24" spans="1:6" ht="15.75" thickBot="1" x14ac:dyDescent="0.3">
      <c r="A24" s="47" t="s">
        <v>52</v>
      </c>
      <c r="D24" s="46">
        <f>D21-F8</f>
        <v>22260</v>
      </c>
      <c r="E24" s="30">
        <f>D24/Cil_ODMENA-1</f>
        <v>6.0000000000000053E-2</v>
      </c>
      <c r="F24" s="8" t="s">
        <v>56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7FF73AB678A94AAE23125217206B96" ma:contentTypeVersion="0" ma:contentTypeDescription="Vytvoří nový dokument" ma:contentTypeScope="" ma:versionID="de29d5e613a0e1c4db0ba72270b5d6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c98b5e5f0a4b7642889d076972788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9971A4-AF1E-43AC-BF0F-FEEFF8177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DD6FED-6471-4EF0-A8BB-5C321F2FEB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FCC81-3072-44A1-B909-F2D1D43C19B8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10</vt:i4>
      </vt:variant>
    </vt:vector>
  </HeadingPairs>
  <TitlesOfParts>
    <vt:vector size="13" baseType="lpstr">
      <vt:lpstr>NAJDILEKTORA.CZ+</vt:lpstr>
      <vt:lpstr>NGNDC</vt:lpstr>
      <vt:lpstr>hodnoty</vt:lpstr>
      <vt:lpstr>Cíl_m_výkon</vt:lpstr>
      <vt:lpstr>Cil_ODMENA</vt:lpstr>
      <vt:lpstr>KC_prednaskohodina</vt:lpstr>
      <vt:lpstr>KC_prednh_BIBLE</vt:lpstr>
      <vt:lpstr>KC_prednh_SDD</vt:lpstr>
      <vt:lpstr>KC_studentohodina</vt:lpstr>
      <vt:lpstr>N.cz</vt:lpstr>
      <vt:lpstr>PC_praxe0</vt:lpstr>
      <vt:lpstr>PC_praxe1</vt:lpstr>
      <vt:lpstr>PC_praxe2plus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Kuklínek</dc:creator>
  <cp:lastModifiedBy>HP</cp:lastModifiedBy>
  <cp:lastPrinted>2015-01-17T18:37:54Z</cp:lastPrinted>
  <dcterms:created xsi:type="dcterms:W3CDTF">2013-07-10T17:34:00Z</dcterms:created>
  <dcterms:modified xsi:type="dcterms:W3CDTF">2018-02-01T14:32:59Z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0x010100017FF73AB678A94AAE23125217206B96</vt:lpwstr>
  </property>
</Properties>
</file>